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filterPrivacy="1" showInkAnnotation="0" autoCompressPictures="0"/>
  <bookViews>
    <workbookView xWindow="20060" yWindow="540" windowWidth="10140" windowHeight="18180" tabRatio="500"/>
  </bookViews>
  <sheets>
    <sheet name="EMS" sheetId="1" r:id="rId1"/>
    <sheet name="国際eパケット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2" l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B13" i="2"/>
  <c r="B22" i="2"/>
  <c r="B21" i="2"/>
  <c r="B20" i="2"/>
  <c r="B19" i="2"/>
  <c r="B18" i="2"/>
  <c r="B17" i="2"/>
  <c r="B16" i="2"/>
  <c r="B15" i="2"/>
  <c r="B14" i="2"/>
  <c r="B12" i="2"/>
  <c r="B11" i="2"/>
  <c r="B10" i="2"/>
  <c r="B9" i="2"/>
  <c r="B8" i="2"/>
  <c r="B7" i="2"/>
  <c r="B6" i="2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C48" i="1"/>
  <c r="C47" i="1"/>
  <c r="C46" i="1"/>
  <c r="C45" i="1"/>
  <c r="C44" i="1"/>
  <c r="C43" i="1"/>
  <c r="C42" i="1"/>
  <c r="C41" i="1"/>
  <c r="C40" i="1"/>
  <c r="C39" i="1"/>
  <c r="C34" i="1"/>
  <c r="C38" i="1"/>
  <c r="C37" i="1"/>
  <c r="C36" i="1"/>
  <c r="C35" i="1"/>
  <c r="C33" i="1"/>
  <c r="C32" i="1"/>
  <c r="C31" i="1"/>
  <c r="C30" i="1"/>
  <c r="C29" i="1"/>
  <c r="C28" i="1"/>
  <c r="C27" i="1"/>
  <c r="C26" i="1"/>
  <c r="C24" i="1"/>
  <c r="C25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B35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E8" i="1"/>
  <c r="D8" i="1"/>
  <c r="C8" i="1"/>
  <c r="B6" i="1"/>
  <c r="E7" i="1"/>
  <c r="D7" i="1"/>
  <c r="C7" i="1"/>
  <c r="E6" i="1"/>
  <c r="D6" i="1"/>
  <c r="C6" i="1"/>
  <c r="B7" i="1"/>
</calcChain>
</file>

<file path=xl/sharedStrings.xml><?xml version="1.0" encoding="utf-8"?>
<sst xmlns="http://schemas.openxmlformats.org/spreadsheetml/2006/main" count="83" uniqueCount="69">
  <si>
    <t>円</t>
  </si>
  <si>
    <t>地帯</t>
  </si>
  <si>
    <t>重量</t>
  </si>
  <si>
    <t>アジア</t>
  </si>
  <si>
    <t>オセアニア・北米・中米・中近東</t>
  </si>
  <si>
    <t>ヨーロッパ</t>
  </si>
  <si>
    <t>南米・アフリカ</t>
  </si>
  <si>
    <t>$1 USD =</t>
    <phoneticPr fontId="2"/>
  </si>
  <si>
    <t>EMS料金表</t>
  </si>
  <si>
    <t>第1地帯</t>
  </si>
  <si>
    <t>第2地帯</t>
  </si>
  <si>
    <t>第3地帯</t>
  </si>
  <si>
    <t>300gまで</t>
  </si>
  <si>
    <t>500gまで</t>
  </si>
  <si>
    <t>600gまで</t>
  </si>
  <si>
    <t>700gまで</t>
  </si>
  <si>
    <t>800gまで</t>
  </si>
  <si>
    <t>900gまで</t>
  </si>
  <si>
    <t>1.0kgまで</t>
  </si>
  <si>
    <t>1.25kgまで</t>
  </si>
  <si>
    <t>1.5kgまで</t>
  </si>
  <si>
    <t>1.75kgまで</t>
  </si>
  <si>
    <t>2.0kgまで</t>
  </si>
  <si>
    <t>2.5kgまで</t>
  </si>
  <si>
    <t>3.0kgまで</t>
  </si>
  <si>
    <t>3.5kgまで</t>
  </si>
  <si>
    <t>4.0kgまで</t>
  </si>
  <si>
    <t>4.5kgまで</t>
  </si>
  <si>
    <t>5.0kgまで</t>
  </si>
  <si>
    <t>5.5kgまで</t>
  </si>
  <si>
    <t>6.0kgまで</t>
  </si>
  <si>
    <t>7.0kgまで</t>
  </si>
  <si>
    <t>8.0kgまで</t>
  </si>
  <si>
    <t>9.0kgまで</t>
  </si>
  <si>
    <t>10.0kgまで</t>
  </si>
  <si>
    <t>11.0kgまで</t>
  </si>
  <si>
    <t>12.0kgまで</t>
  </si>
  <si>
    <t>13.0kgまで</t>
  </si>
  <si>
    <t>14.0kgまで</t>
  </si>
  <si>
    <t>15.0kgまで</t>
  </si>
  <si>
    <t>16.0kgまで</t>
  </si>
  <si>
    <t>17.0kgまで</t>
  </si>
  <si>
    <t>18.0kgまで</t>
  </si>
  <si>
    <t>19.0kgまで</t>
  </si>
  <si>
    <t>20.0kgまで</t>
  </si>
  <si>
    <t>21.0kgまで</t>
  </si>
  <si>
    <t>22.0kgまで</t>
  </si>
  <si>
    <t>23.0kgまで</t>
  </si>
  <si>
    <t>24.0kgまで</t>
  </si>
  <si>
    <t>25.0kgまで</t>
  </si>
  <si>
    <t>26.0kgまで</t>
  </si>
  <si>
    <t>27.0kgまで</t>
  </si>
  <si>
    <t>28.0kgまで</t>
  </si>
  <si>
    <t>29.0kgまで</t>
  </si>
  <si>
    <t>30.0kgまで</t>
  </si>
  <si>
    <t>国際eパケット料金表(国際書留料410円を含む)</t>
    <rPh sb="0" eb="2">
      <t>コクサイ</t>
    </rPh>
    <rPh sb="11" eb="16">
      <t>コクサイカキトメリョウ</t>
    </rPh>
    <rPh sb="19" eb="20">
      <t>エン</t>
    </rPh>
    <rPh sb="21" eb="22">
      <t>フク</t>
    </rPh>
    <phoneticPr fontId="2"/>
  </si>
  <si>
    <t>50gまで</t>
    <phoneticPr fontId="2"/>
  </si>
  <si>
    <t>100gまで</t>
    <phoneticPr fontId="2"/>
  </si>
  <si>
    <t>150gまで</t>
    <phoneticPr fontId="2"/>
  </si>
  <si>
    <t>200gまで</t>
    <phoneticPr fontId="2"/>
  </si>
  <si>
    <t>250gまで</t>
    <phoneticPr fontId="2"/>
  </si>
  <si>
    <t>300gまで</t>
    <phoneticPr fontId="2"/>
  </si>
  <si>
    <t>400gまで</t>
    <phoneticPr fontId="2"/>
  </si>
  <si>
    <t>1.0kgまで</t>
    <phoneticPr fontId="2"/>
  </si>
  <si>
    <t>1.25kgまで</t>
    <phoneticPr fontId="2"/>
  </si>
  <si>
    <t>1.5kgまで</t>
    <phoneticPr fontId="2"/>
  </si>
  <si>
    <t>1.75kgまで</t>
    <phoneticPr fontId="2"/>
  </si>
  <si>
    <t>2.0kgまで</t>
    <phoneticPr fontId="2"/>
  </si>
  <si>
    <t>北中米・ヨーロッパ・オセアニア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</si>
</sst>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2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12"/>
      <name val="ＭＳ Ｐゴシック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3" tint="0.39997558519241921"/>
        <bgColor rgb="FFCCCCFF"/>
      </patternFill>
    </fill>
    <fill>
      <patternFill patternType="solid">
        <fgColor theme="3" tint="0.59999389629810485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 applyBorder="1"/>
    <xf numFmtId="0" fontId="0" fillId="0" borderId="0" xfId="0" applyFont="1" applyBorder="1"/>
    <xf numFmtId="0" fontId="0" fillId="0" borderId="0" xfId="0" applyFont="1"/>
    <xf numFmtId="0" fontId="7" fillId="0" borderId="0" xfId="0" applyFont="1" applyBorder="1"/>
    <xf numFmtId="0" fontId="7" fillId="0" borderId="1" xfId="0" applyFont="1" applyBorder="1"/>
    <xf numFmtId="0" fontId="7" fillId="2" borderId="2" xfId="0" applyFont="1" applyFill="1" applyBorder="1" applyAlignment="1">
      <alignment horizontal="right"/>
    </xf>
    <xf numFmtId="0" fontId="0" fillId="0" borderId="1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4" fontId="0" fillId="0" borderId="1" xfId="0" applyNumberFormat="1" applyBorder="1"/>
    <xf numFmtId="40" fontId="0" fillId="0" borderId="1" xfId="17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1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桁区切り" xfId="17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</cellStyles>
  <dxfs count="2">
    <dxf>
      <font>
        <color auto="1"/>
      </font>
      <fill>
        <patternFill patternType="solid">
          <fgColor indexed="64"/>
          <bgColor theme="3" tint="0.79998168889431442"/>
        </patternFill>
      </fill>
    </dxf>
    <dxf>
      <font>
        <color auto="1"/>
      </font>
      <fill>
        <patternFill patternType="solid">
          <fgColor indexed="64"/>
          <bgColor theme="3" tint="0.79998168889431442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pane ySplit="5" topLeftCell="A6" activePane="bottomLeft" state="frozen"/>
      <selection pane="bottomLeft" activeCell="B1" sqref="B1"/>
    </sheetView>
  </sheetViews>
  <sheetFormatPr baseColWidth="12" defaultRowHeight="18" x14ac:dyDescent="0"/>
  <sheetData>
    <row r="1" spans="1:5">
      <c r="A1" s="6" t="s">
        <v>7</v>
      </c>
      <c r="B1" s="5">
        <v>100</v>
      </c>
      <c r="C1" s="4" t="s">
        <v>0</v>
      </c>
      <c r="D1" s="2"/>
      <c r="E1" s="2"/>
    </row>
    <row r="2" spans="1:5">
      <c r="D2" s="3"/>
      <c r="E2" s="3"/>
    </row>
    <row r="3" spans="1:5">
      <c r="A3" s="1" t="s">
        <v>8</v>
      </c>
      <c r="B3" s="2"/>
      <c r="C3" s="2"/>
      <c r="D3" s="2"/>
      <c r="E3" s="2"/>
    </row>
    <row r="4" spans="1:5">
      <c r="A4" s="14" t="s">
        <v>1</v>
      </c>
      <c r="B4" s="14" t="s">
        <v>9</v>
      </c>
      <c r="C4" s="15" t="s">
        <v>10</v>
      </c>
      <c r="D4" s="16"/>
      <c r="E4" s="14" t="s">
        <v>11</v>
      </c>
    </row>
    <row r="5" spans="1:5" ht="27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</row>
    <row r="6" spans="1:5">
      <c r="A6" s="7" t="s">
        <v>12</v>
      </c>
      <c r="B6" s="8">
        <f>900/B1</f>
        <v>9</v>
      </c>
      <c r="C6" s="8">
        <f>1200/B1</f>
        <v>12</v>
      </c>
      <c r="D6" s="8">
        <f>1500/B1</f>
        <v>15</v>
      </c>
      <c r="E6" s="8">
        <f>1700/B1</f>
        <v>17</v>
      </c>
    </row>
    <row r="7" spans="1:5">
      <c r="A7" s="7" t="s">
        <v>13</v>
      </c>
      <c r="B7" s="8">
        <f>1100/B1</f>
        <v>11</v>
      </c>
      <c r="C7" s="8">
        <f>1500/B1</f>
        <v>15</v>
      </c>
      <c r="D7" s="8">
        <f>1800/B1</f>
        <v>18</v>
      </c>
      <c r="E7" s="8">
        <f>2100/B1</f>
        <v>21</v>
      </c>
    </row>
    <row r="8" spans="1:5">
      <c r="A8" s="7" t="s">
        <v>14</v>
      </c>
      <c r="B8" s="8">
        <f>1240/B1</f>
        <v>12.4</v>
      </c>
      <c r="C8" s="8">
        <f>1680/B1</f>
        <v>16.8</v>
      </c>
      <c r="D8" s="8">
        <f>2000/B1</f>
        <v>20</v>
      </c>
      <c r="E8" s="8">
        <f>2440/B1</f>
        <v>24.4</v>
      </c>
    </row>
    <row r="9" spans="1:5">
      <c r="A9" s="7" t="s">
        <v>15</v>
      </c>
      <c r="B9" s="8">
        <f>1380/B1</f>
        <v>13.8</v>
      </c>
      <c r="C9" s="8">
        <f>1860/B1</f>
        <v>18.600000000000001</v>
      </c>
      <c r="D9" s="8">
        <f>2200/B1</f>
        <v>22</v>
      </c>
      <c r="E9" s="8">
        <f>2780/B1</f>
        <v>27.8</v>
      </c>
    </row>
    <row r="10" spans="1:5">
      <c r="A10" s="7" t="s">
        <v>16</v>
      </c>
      <c r="B10" s="8">
        <f>1520/B1</f>
        <v>15.2</v>
      </c>
      <c r="C10" s="8">
        <f>2040/B1</f>
        <v>20.399999999999999</v>
      </c>
      <c r="D10" s="8">
        <f>2400/B1</f>
        <v>24</v>
      </c>
      <c r="E10" s="8">
        <f>3120/B1</f>
        <v>31.2</v>
      </c>
    </row>
    <row r="11" spans="1:5">
      <c r="A11" s="7" t="s">
        <v>17</v>
      </c>
      <c r="B11" s="8">
        <f>1660/B1</f>
        <v>16.600000000000001</v>
      </c>
      <c r="C11" s="8">
        <f>2220/B1</f>
        <v>22.2</v>
      </c>
      <c r="D11" s="8">
        <f>2600/B1</f>
        <v>26</v>
      </c>
      <c r="E11" s="8">
        <f>3460/B1</f>
        <v>34.6</v>
      </c>
    </row>
    <row r="12" spans="1:5">
      <c r="A12" s="9" t="s">
        <v>18</v>
      </c>
      <c r="B12" s="8">
        <f>1800/B1</f>
        <v>18</v>
      </c>
      <c r="C12" s="8">
        <f>2400/B1</f>
        <v>24</v>
      </c>
      <c r="D12" s="8">
        <f>2800/B1</f>
        <v>28</v>
      </c>
      <c r="E12" s="8">
        <f>3800/B1</f>
        <v>38</v>
      </c>
    </row>
    <row r="13" spans="1:5">
      <c r="A13" s="9" t="s">
        <v>19</v>
      </c>
      <c r="B13" s="8">
        <f>2100/B1</f>
        <v>21</v>
      </c>
      <c r="C13" s="8">
        <f>2800/B1</f>
        <v>28</v>
      </c>
      <c r="D13" s="8">
        <f>3250/B1</f>
        <v>32.5</v>
      </c>
      <c r="E13" s="8">
        <f>4600/B1</f>
        <v>46</v>
      </c>
    </row>
    <row r="14" spans="1:5">
      <c r="A14" s="9" t="s">
        <v>20</v>
      </c>
      <c r="B14" s="8">
        <f>2400/B1</f>
        <v>24</v>
      </c>
      <c r="C14" s="8">
        <f>3200/B1</f>
        <v>32</v>
      </c>
      <c r="D14" s="8">
        <f>3700/B1</f>
        <v>37</v>
      </c>
      <c r="E14" s="8">
        <f>5400/B1</f>
        <v>54</v>
      </c>
    </row>
    <row r="15" spans="1:5">
      <c r="A15" s="9" t="s">
        <v>21</v>
      </c>
      <c r="B15" s="8">
        <f>2700/B1</f>
        <v>27</v>
      </c>
      <c r="C15" s="8">
        <f>3600/B1</f>
        <v>36</v>
      </c>
      <c r="D15" s="8">
        <f>4150/B1</f>
        <v>41.5</v>
      </c>
      <c r="E15" s="8">
        <f>6200/B1</f>
        <v>62</v>
      </c>
    </row>
    <row r="16" spans="1:5">
      <c r="A16" s="9" t="s">
        <v>22</v>
      </c>
      <c r="B16" s="8">
        <f>3000/B1</f>
        <v>30</v>
      </c>
      <c r="C16" s="8">
        <f>4000/B1</f>
        <v>40</v>
      </c>
      <c r="D16" s="8">
        <f>4600/B1</f>
        <v>46</v>
      </c>
      <c r="E16" s="8">
        <f>7000/B1</f>
        <v>70</v>
      </c>
    </row>
    <row r="17" spans="1:5">
      <c r="A17" s="9" t="s">
        <v>23</v>
      </c>
      <c r="B17" s="8">
        <f>3500/B1</f>
        <v>35</v>
      </c>
      <c r="C17" s="8">
        <f>4700/B1</f>
        <v>47</v>
      </c>
      <c r="D17" s="8">
        <f>5400/B1</f>
        <v>54</v>
      </c>
      <c r="E17" s="8">
        <f>8500/B1</f>
        <v>85</v>
      </c>
    </row>
    <row r="18" spans="1:5">
      <c r="A18" s="9" t="s">
        <v>24</v>
      </c>
      <c r="B18" s="8">
        <f>4000/B1</f>
        <v>40</v>
      </c>
      <c r="C18" s="8">
        <f>5400/B1</f>
        <v>54</v>
      </c>
      <c r="D18" s="8">
        <f>6200/B1</f>
        <v>62</v>
      </c>
      <c r="E18" s="8">
        <f>10000/B1</f>
        <v>100</v>
      </c>
    </row>
    <row r="19" spans="1:5">
      <c r="A19" s="9" t="s">
        <v>25</v>
      </c>
      <c r="B19" s="8">
        <f>4500/B1</f>
        <v>45</v>
      </c>
      <c r="C19" s="8">
        <f>6100/B1</f>
        <v>61</v>
      </c>
      <c r="D19" s="8">
        <f>7000/B1</f>
        <v>70</v>
      </c>
      <c r="E19" s="8">
        <f>11500/B1</f>
        <v>115</v>
      </c>
    </row>
    <row r="20" spans="1:5">
      <c r="A20" s="9" t="s">
        <v>26</v>
      </c>
      <c r="B20" s="8">
        <f>5000/B1</f>
        <v>50</v>
      </c>
      <c r="C20" s="8">
        <f>6800/B1</f>
        <v>68</v>
      </c>
      <c r="D20" s="8">
        <f>7800/B1</f>
        <v>78</v>
      </c>
      <c r="E20" s="8">
        <f>13000/B1</f>
        <v>130</v>
      </c>
    </row>
    <row r="21" spans="1:5">
      <c r="A21" s="9" t="s">
        <v>27</v>
      </c>
      <c r="B21" s="8">
        <f>5500/B1</f>
        <v>55</v>
      </c>
      <c r="C21" s="8">
        <f>7500/B1</f>
        <v>75</v>
      </c>
      <c r="D21" s="8">
        <f>8600/B1</f>
        <v>86</v>
      </c>
      <c r="E21" s="8">
        <f>14500/B1</f>
        <v>145</v>
      </c>
    </row>
    <row r="22" spans="1:5">
      <c r="A22" s="9" t="s">
        <v>28</v>
      </c>
      <c r="B22" s="8">
        <f>6000/B1</f>
        <v>60</v>
      </c>
      <c r="C22" s="8">
        <f>8200/B1</f>
        <v>82</v>
      </c>
      <c r="D22" s="8">
        <f>9400/B1</f>
        <v>94</v>
      </c>
      <c r="E22" s="8">
        <f>16000/B1</f>
        <v>160</v>
      </c>
    </row>
    <row r="23" spans="1:5">
      <c r="A23" s="9" t="s">
        <v>29</v>
      </c>
      <c r="B23" s="8">
        <f>6500/B1</f>
        <v>65</v>
      </c>
      <c r="C23" s="8">
        <f>8900/B1</f>
        <v>89</v>
      </c>
      <c r="D23" s="8">
        <f>10200/B1</f>
        <v>102</v>
      </c>
      <c r="E23" s="8">
        <f>17500/B1</f>
        <v>175</v>
      </c>
    </row>
    <row r="24" spans="1:5">
      <c r="A24" s="9" t="s">
        <v>30</v>
      </c>
      <c r="B24" s="8">
        <f>7000/B1</f>
        <v>70</v>
      </c>
      <c r="C24" s="8">
        <f>9600/B1</f>
        <v>96</v>
      </c>
      <c r="D24" s="8">
        <f>11000/B1</f>
        <v>110</v>
      </c>
      <c r="E24" s="8">
        <f>19000/B1</f>
        <v>190</v>
      </c>
    </row>
    <row r="25" spans="1:5">
      <c r="A25" s="9" t="s">
        <v>31</v>
      </c>
      <c r="B25" s="8">
        <f>7800/B1</f>
        <v>78</v>
      </c>
      <c r="C25" s="8">
        <f>10700/B1</f>
        <v>107</v>
      </c>
      <c r="D25" s="8">
        <f>12300/B1</f>
        <v>123</v>
      </c>
      <c r="E25" s="8">
        <f>21100/B1</f>
        <v>211</v>
      </c>
    </row>
    <row r="26" spans="1:5">
      <c r="A26" s="9" t="s">
        <v>32</v>
      </c>
      <c r="B26" s="8">
        <f>8600/B1</f>
        <v>86</v>
      </c>
      <c r="C26" s="8">
        <f>11800/B1</f>
        <v>118</v>
      </c>
      <c r="D26" s="8">
        <f>13600/B1</f>
        <v>136</v>
      </c>
      <c r="E26" s="8">
        <f>23200/B1</f>
        <v>232</v>
      </c>
    </row>
    <row r="27" spans="1:5">
      <c r="A27" s="9" t="s">
        <v>33</v>
      </c>
      <c r="B27" s="8">
        <f>9400/B1</f>
        <v>94</v>
      </c>
      <c r="C27" s="8">
        <f>12900/B1</f>
        <v>129</v>
      </c>
      <c r="D27" s="8">
        <f>14900/B1</f>
        <v>149</v>
      </c>
      <c r="E27" s="8">
        <f>25300/B1</f>
        <v>253</v>
      </c>
    </row>
    <row r="28" spans="1:5">
      <c r="A28" s="9" t="s">
        <v>34</v>
      </c>
      <c r="B28" s="8">
        <f>10200/B1</f>
        <v>102</v>
      </c>
      <c r="C28" s="8">
        <f>14000/B1</f>
        <v>140</v>
      </c>
      <c r="D28" s="8">
        <f>16200/B1</f>
        <v>162</v>
      </c>
      <c r="E28" s="8">
        <f>27400/B1</f>
        <v>274</v>
      </c>
    </row>
    <row r="29" spans="1:5">
      <c r="A29" s="9" t="s">
        <v>35</v>
      </c>
      <c r="B29" s="11">
        <f>11000/B1</f>
        <v>110</v>
      </c>
      <c r="C29" s="10">
        <f>15100/B1</f>
        <v>151</v>
      </c>
      <c r="D29" s="10">
        <f>17500/B1</f>
        <v>175</v>
      </c>
      <c r="E29" s="10">
        <f>29500/B1</f>
        <v>295</v>
      </c>
    </row>
    <row r="30" spans="1:5">
      <c r="A30" s="9" t="s">
        <v>36</v>
      </c>
      <c r="B30" s="10">
        <f>11800/B1</f>
        <v>118</v>
      </c>
      <c r="C30" s="10">
        <f>16200/B1</f>
        <v>162</v>
      </c>
      <c r="D30" s="10">
        <f>18800/B1</f>
        <v>188</v>
      </c>
      <c r="E30" s="10">
        <f>31600/B1</f>
        <v>316</v>
      </c>
    </row>
    <row r="31" spans="1:5">
      <c r="A31" s="9" t="s">
        <v>37</v>
      </c>
      <c r="B31" s="10">
        <f>12600/B1</f>
        <v>126</v>
      </c>
      <c r="C31" s="10">
        <f>17300/B1</f>
        <v>173</v>
      </c>
      <c r="D31" s="10">
        <f>20100/B1</f>
        <v>201</v>
      </c>
      <c r="E31" s="10">
        <f>33700/B1</f>
        <v>337</v>
      </c>
    </row>
    <row r="32" spans="1:5">
      <c r="A32" s="9" t="s">
        <v>38</v>
      </c>
      <c r="B32" s="10">
        <f>13400/B1</f>
        <v>134</v>
      </c>
      <c r="C32" s="10">
        <f>18400/B1</f>
        <v>184</v>
      </c>
      <c r="D32" s="10">
        <f>21400/B1</f>
        <v>214</v>
      </c>
      <c r="E32" s="10">
        <f>35800/B1</f>
        <v>358</v>
      </c>
    </row>
    <row r="33" spans="1:5">
      <c r="A33" s="9" t="s">
        <v>39</v>
      </c>
      <c r="B33" s="10">
        <f>14200/B1</f>
        <v>142</v>
      </c>
      <c r="C33" s="10">
        <f>19500/B1</f>
        <v>195</v>
      </c>
      <c r="D33" s="10">
        <f>22700/B1</f>
        <v>227</v>
      </c>
      <c r="E33" s="10">
        <f>37900/B1</f>
        <v>379</v>
      </c>
    </row>
    <row r="34" spans="1:5">
      <c r="A34" s="9" t="s">
        <v>40</v>
      </c>
      <c r="B34" s="10">
        <f>15000/B1</f>
        <v>150</v>
      </c>
      <c r="C34" s="10">
        <f>20600/B1</f>
        <v>206</v>
      </c>
      <c r="D34" s="10">
        <f>24000/B1</f>
        <v>240</v>
      </c>
      <c r="E34" s="10">
        <f>40000/B1</f>
        <v>400</v>
      </c>
    </row>
    <row r="35" spans="1:5">
      <c r="A35" s="9" t="s">
        <v>41</v>
      </c>
      <c r="B35" s="10">
        <f>15800/B1</f>
        <v>158</v>
      </c>
      <c r="C35" s="10">
        <f>21700/B1</f>
        <v>217</v>
      </c>
      <c r="D35" s="10">
        <f>25300/B1</f>
        <v>253</v>
      </c>
      <c r="E35" s="10">
        <f>42100/B1</f>
        <v>421</v>
      </c>
    </row>
    <row r="36" spans="1:5">
      <c r="A36" s="9" t="s">
        <v>42</v>
      </c>
      <c r="B36" s="10">
        <f>16600/B1</f>
        <v>166</v>
      </c>
      <c r="C36" s="10">
        <f>22800/B1</f>
        <v>228</v>
      </c>
      <c r="D36" s="10">
        <f>26600/B1</f>
        <v>266</v>
      </c>
      <c r="E36" s="10">
        <f>44200/B1</f>
        <v>442</v>
      </c>
    </row>
    <row r="37" spans="1:5">
      <c r="A37" s="9" t="s">
        <v>43</v>
      </c>
      <c r="B37" s="10">
        <f>17400/B1</f>
        <v>174</v>
      </c>
      <c r="C37" s="10">
        <f>23900/B1</f>
        <v>239</v>
      </c>
      <c r="D37" s="10">
        <f>27900/B1</f>
        <v>279</v>
      </c>
      <c r="E37" s="10">
        <f>46300/B1</f>
        <v>463</v>
      </c>
    </row>
    <row r="38" spans="1:5">
      <c r="A38" s="9" t="s">
        <v>44</v>
      </c>
      <c r="B38" s="10">
        <f>18200/B1</f>
        <v>182</v>
      </c>
      <c r="C38" s="10">
        <f>25000/B1</f>
        <v>250</v>
      </c>
      <c r="D38" s="10">
        <f>29200/B1</f>
        <v>292</v>
      </c>
      <c r="E38" s="10">
        <f>48400/B1</f>
        <v>484</v>
      </c>
    </row>
    <row r="39" spans="1:5">
      <c r="A39" s="9" t="s">
        <v>45</v>
      </c>
      <c r="B39" s="10">
        <f>19000/B1</f>
        <v>190</v>
      </c>
      <c r="C39" s="10">
        <f>26100/B1</f>
        <v>261</v>
      </c>
      <c r="D39" s="10">
        <f>30500/B1</f>
        <v>305</v>
      </c>
      <c r="E39" s="10">
        <f>50500/B1</f>
        <v>505</v>
      </c>
    </row>
    <row r="40" spans="1:5">
      <c r="A40" s="9" t="s">
        <v>46</v>
      </c>
      <c r="B40" s="10">
        <f>19800/B1</f>
        <v>198</v>
      </c>
      <c r="C40" s="10">
        <f>27200/B1</f>
        <v>272</v>
      </c>
      <c r="D40" s="10">
        <f>31800/B1</f>
        <v>318</v>
      </c>
      <c r="E40" s="10">
        <f>52600/B1</f>
        <v>526</v>
      </c>
    </row>
    <row r="41" spans="1:5">
      <c r="A41" s="9" t="s">
        <v>47</v>
      </c>
      <c r="B41" s="10">
        <f>20600/B1</f>
        <v>206</v>
      </c>
      <c r="C41" s="10">
        <f>28300/B1</f>
        <v>283</v>
      </c>
      <c r="D41" s="10">
        <f>33100/B1</f>
        <v>331</v>
      </c>
      <c r="E41" s="10">
        <f>54700/B1</f>
        <v>547</v>
      </c>
    </row>
    <row r="42" spans="1:5">
      <c r="A42" s="9" t="s">
        <v>48</v>
      </c>
      <c r="B42" s="10">
        <f>21400/B1</f>
        <v>214</v>
      </c>
      <c r="C42" s="10">
        <f>29400/B1</f>
        <v>294</v>
      </c>
      <c r="D42" s="10">
        <f>34400/B1</f>
        <v>344</v>
      </c>
      <c r="E42" s="10">
        <f>56800/B1</f>
        <v>568</v>
      </c>
    </row>
    <row r="43" spans="1:5">
      <c r="A43" s="9" t="s">
        <v>49</v>
      </c>
      <c r="B43" s="10">
        <f>22200/B1</f>
        <v>222</v>
      </c>
      <c r="C43" s="10">
        <f>30500/B1</f>
        <v>305</v>
      </c>
      <c r="D43" s="10">
        <f>35700/B1</f>
        <v>357</v>
      </c>
      <c r="E43" s="10">
        <f>58900/B1</f>
        <v>589</v>
      </c>
    </row>
    <row r="44" spans="1:5">
      <c r="A44" s="9" t="s">
        <v>50</v>
      </c>
      <c r="B44" s="10">
        <f>23000/B1</f>
        <v>230</v>
      </c>
      <c r="C44" s="10">
        <f>31600/B1</f>
        <v>316</v>
      </c>
      <c r="D44" s="10">
        <f>37000/B1</f>
        <v>370</v>
      </c>
      <c r="E44" s="10">
        <f>61000/B1</f>
        <v>610</v>
      </c>
    </row>
    <row r="45" spans="1:5">
      <c r="A45" s="9" t="s">
        <v>51</v>
      </c>
      <c r="B45" s="10">
        <f>23800/B1</f>
        <v>238</v>
      </c>
      <c r="C45" s="10">
        <f>32700/B1</f>
        <v>327</v>
      </c>
      <c r="D45" s="10">
        <f>38300/B1</f>
        <v>383</v>
      </c>
      <c r="E45" s="10">
        <f>63100/B1</f>
        <v>631</v>
      </c>
    </row>
    <row r="46" spans="1:5">
      <c r="A46" s="9" t="s">
        <v>52</v>
      </c>
      <c r="B46" s="10">
        <f>24600/B1</f>
        <v>246</v>
      </c>
      <c r="C46" s="10">
        <f>33800/B1</f>
        <v>338</v>
      </c>
      <c r="D46" s="10">
        <f>39600/B1</f>
        <v>396</v>
      </c>
      <c r="E46" s="10">
        <f>65200/B1</f>
        <v>652</v>
      </c>
    </row>
    <row r="47" spans="1:5">
      <c r="A47" s="9" t="s">
        <v>53</v>
      </c>
      <c r="B47" s="10">
        <f>25400/B1</f>
        <v>254</v>
      </c>
      <c r="C47" s="10">
        <f>34900/B1</f>
        <v>349</v>
      </c>
      <c r="D47" s="10">
        <f>40900/B1</f>
        <v>409</v>
      </c>
      <c r="E47" s="10">
        <f>67300/B1</f>
        <v>673</v>
      </c>
    </row>
    <row r="48" spans="1:5">
      <c r="A48" s="9" t="s">
        <v>54</v>
      </c>
      <c r="B48" s="10">
        <f>26200/B1</f>
        <v>262</v>
      </c>
      <c r="C48" s="10">
        <f>36000/B1</f>
        <v>360</v>
      </c>
      <c r="D48" s="10">
        <f>42200/B1</f>
        <v>422</v>
      </c>
      <c r="E48" s="10">
        <f>69400/B1</f>
        <v>694</v>
      </c>
    </row>
  </sheetData>
  <mergeCells count="1">
    <mergeCell ref="C4:D4"/>
  </mergeCells>
  <phoneticPr fontId="2"/>
  <conditionalFormatting sqref="A6:E48">
    <cfRule type="expression" dxfId="1" priority="1">
      <formula>MOD(ROW(),2)=1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pane ySplit="5" topLeftCell="A6" activePane="bottomLeft" state="frozen"/>
      <selection pane="bottomLeft" activeCell="B1" sqref="B1"/>
    </sheetView>
  </sheetViews>
  <sheetFormatPr baseColWidth="12" defaultRowHeight="18" x14ac:dyDescent="0"/>
  <sheetData>
    <row r="1" spans="1:4">
      <c r="A1" s="6" t="s">
        <v>7</v>
      </c>
      <c r="B1" s="5">
        <v>100</v>
      </c>
      <c r="C1" s="4" t="s">
        <v>0</v>
      </c>
      <c r="D1" s="2"/>
    </row>
    <row r="2" spans="1:4">
      <c r="D2" s="3"/>
    </row>
    <row r="3" spans="1:4">
      <c r="A3" s="1" t="s">
        <v>55</v>
      </c>
      <c r="B3" s="2"/>
      <c r="C3" s="2"/>
      <c r="D3" s="2"/>
    </row>
    <row r="4" spans="1:4">
      <c r="A4" s="12" t="s">
        <v>1</v>
      </c>
      <c r="B4" s="12" t="s">
        <v>9</v>
      </c>
      <c r="C4" s="12" t="s">
        <v>10</v>
      </c>
      <c r="D4" s="12" t="s">
        <v>11</v>
      </c>
    </row>
    <row r="5" spans="1:4" ht="27">
      <c r="A5" s="13" t="s">
        <v>2</v>
      </c>
      <c r="B5" s="13" t="s">
        <v>3</v>
      </c>
      <c r="C5" s="13" t="s">
        <v>68</v>
      </c>
      <c r="D5" s="13" t="s">
        <v>6</v>
      </c>
    </row>
    <row r="6" spans="1:4">
      <c r="A6" s="7" t="s">
        <v>56</v>
      </c>
      <c r="B6" s="8">
        <f>530/B1</f>
        <v>5.3</v>
      </c>
      <c r="C6" s="8">
        <f>560/B1</f>
        <v>5.6</v>
      </c>
      <c r="D6" s="8">
        <f>580/B1</f>
        <v>5.8</v>
      </c>
    </row>
    <row r="7" spans="1:4">
      <c r="A7" s="7" t="s">
        <v>57</v>
      </c>
      <c r="B7" s="8">
        <f>580/B1</f>
        <v>5.8</v>
      </c>
      <c r="C7" s="8">
        <f>635/B1</f>
        <v>6.35</v>
      </c>
      <c r="D7" s="8">
        <f>685/B1</f>
        <v>6.85</v>
      </c>
    </row>
    <row r="8" spans="1:4">
      <c r="A8" s="7" t="s">
        <v>58</v>
      </c>
      <c r="B8" s="8">
        <f>630/B1</f>
        <v>6.3</v>
      </c>
      <c r="C8" s="8">
        <f>710/B1</f>
        <v>7.1</v>
      </c>
      <c r="D8" s="8">
        <f>790/B1</f>
        <v>7.9</v>
      </c>
    </row>
    <row r="9" spans="1:4">
      <c r="A9" s="7" t="s">
        <v>59</v>
      </c>
      <c r="B9" s="8">
        <f>680/B1</f>
        <v>6.8</v>
      </c>
      <c r="C9" s="8">
        <f>785/B1</f>
        <v>7.85</v>
      </c>
      <c r="D9" s="8">
        <f>895/B1</f>
        <v>8.9499999999999993</v>
      </c>
    </row>
    <row r="10" spans="1:4">
      <c r="A10" s="7" t="s">
        <v>60</v>
      </c>
      <c r="B10" s="8">
        <f>730/B1</f>
        <v>7.3</v>
      </c>
      <c r="C10" s="8">
        <f>860/B1</f>
        <v>8.6</v>
      </c>
      <c r="D10" s="8">
        <f>1000/B1</f>
        <v>10</v>
      </c>
    </row>
    <row r="11" spans="1:4">
      <c r="A11" s="7" t="s">
        <v>61</v>
      </c>
      <c r="B11" s="8">
        <f>780/B1</f>
        <v>7.8</v>
      </c>
      <c r="C11" s="8">
        <f>935/B1</f>
        <v>9.35</v>
      </c>
      <c r="D11" s="8">
        <f>1105/B1</f>
        <v>11.05</v>
      </c>
    </row>
    <row r="12" spans="1:4">
      <c r="A12" s="9" t="s">
        <v>62</v>
      </c>
      <c r="B12" s="8">
        <f>880/B1</f>
        <v>8.8000000000000007</v>
      </c>
      <c r="C12" s="8">
        <f>1085/B1</f>
        <v>10.85</v>
      </c>
      <c r="D12" s="8">
        <f>1315/B1</f>
        <v>13.15</v>
      </c>
    </row>
    <row r="13" spans="1:4">
      <c r="A13" s="7" t="s">
        <v>13</v>
      </c>
      <c r="B13" s="8">
        <f>980/B1</f>
        <v>9.8000000000000007</v>
      </c>
      <c r="C13" s="8">
        <f>1235/B1</f>
        <v>12.35</v>
      </c>
      <c r="D13" s="8">
        <f>1525/B1</f>
        <v>15.25</v>
      </c>
    </row>
    <row r="14" spans="1:4">
      <c r="A14" s="9" t="s">
        <v>14</v>
      </c>
      <c r="B14" s="8">
        <f>1080/B1</f>
        <v>10.8</v>
      </c>
      <c r="C14" s="8">
        <f>1385/B1</f>
        <v>13.85</v>
      </c>
      <c r="D14" s="8">
        <f>1735/B1</f>
        <v>17.350000000000001</v>
      </c>
    </row>
    <row r="15" spans="1:4">
      <c r="A15" s="7" t="s">
        <v>15</v>
      </c>
      <c r="B15" s="8">
        <f>1180/B1</f>
        <v>11.8</v>
      </c>
      <c r="C15" s="8">
        <f>1535/B1</f>
        <v>15.35</v>
      </c>
      <c r="D15" s="8">
        <f>1945/B1</f>
        <v>19.45</v>
      </c>
    </row>
    <row r="16" spans="1:4">
      <c r="A16" s="9" t="s">
        <v>16</v>
      </c>
      <c r="B16" s="8">
        <f>1280/B1</f>
        <v>12.8</v>
      </c>
      <c r="C16" s="8">
        <f>1685/B1</f>
        <v>16.850000000000001</v>
      </c>
      <c r="D16" s="8">
        <f>2155/B1</f>
        <v>21.55</v>
      </c>
    </row>
    <row r="17" spans="1:4">
      <c r="A17" s="7" t="s">
        <v>17</v>
      </c>
      <c r="B17" s="8">
        <f>1380/B1</f>
        <v>13.8</v>
      </c>
      <c r="C17" s="8">
        <f>1835/B1</f>
        <v>18.350000000000001</v>
      </c>
      <c r="D17" s="8">
        <f>2365/B1</f>
        <v>23.65</v>
      </c>
    </row>
    <row r="18" spans="1:4">
      <c r="A18" s="9" t="s">
        <v>63</v>
      </c>
      <c r="B18" s="8">
        <f>1480/B1</f>
        <v>14.8</v>
      </c>
      <c r="C18" s="8">
        <f>1985/B1</f>
        <v>19.850000000000001</v>
      </c>
      <c r="D18" s="8">
        <f>2575/B1</f>
        <v>25.75</v>
      </c>
    </row>
    <row r="19" spans="1:4">
      <c r="A19" s="9" t="s">
        <v>64</v>
      </c>
      <c r="B19" s="8">
        <f>1700/B1</f>
        <v>17</v>
      </c>
      <c r="C19" s="8">
        <f>2255/B1</f>
        <v>22.55</v>
      </c>
      <c r="D19" s="8">
        <f>2945/B1</f>
        <v>29.45</v>
      </c>
    </row>
    <row r="20" spans="1:4">
      <c r="A20" s="9" t="s">
        <v>65</v>
      </c>
      <c r="B20" s="8">
        <f>1920/B1</f>
        <v>19.2</v>
      </c>
      <c r="C20" s="8">
        <f>2525/B1</f>
        <v>25.25</v>
      </c>
      <c r="D20" s="8">
        <f>3315/B1</f>
        <v>33.15</v>
      </c>
    </row>
    <row r="21" spans="1:4">
      <c r="A21" s="9" t="s">
        <v>66</v>
      </c>
      <c r="B21" s="8">
        <f>2140/B1</f>
        <v>21.4</v>
      </c>
      <c r="C21" s="8">
        <f>2795/B1</f>
        <v>27.95</v>
      </c>
      <c r="D21" s="8">
        <f>3685/B1</f>
        <v>36.85</v>
      </c>
    </row>
    <row r="22" spans="1:4">
      <c r="A22" s="9" t="s">
        <v>67</v>
      </c>
      <c r="B22" s="8">
        <f>2360/B1</f>
        <v>23.6</v>
      </c>
      <c r="C22" s="8">
        <f>3065/B1</f>
        <v>30.65</v>
      </c>
      <c r="D22" s="8">
        <f>4055/B1</f>
        <v>40.549999999999997</v>
      </c>
    </row>
  </sheetData>
  <phoneticPr fontId="2"/>
  <conditionalFormatting sqref="A6:D22">
    <cfRule type="expression" dxfId="0" priority="1">
      <formula>MOD(ROW(),2)=1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EMS</vt:lpstr>
      <vt:lpstr>国際eパケット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2013-10-20T08:13:23Z</dcterms:created>
  <dcterms:modified xsi:type="dcterms:W3CDTF">2015-06-30T05:00:02Z</dcterms:modified>
</cp:coreProperties>
</file>